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ТК620 ТК621  (5пор)" sheetId="1" r:id="rId1"/>
  </sheets>
  <externalReferences>
    <externalReference r:id="rId4"/>
  </externalReferences>
  <definedNames>
    <definedName name="_xlnm.Print_Area" localSheetId="0">'ТК620 ТК621  (5пор)'!$A$1:$I$51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<sst xmlns="http://schemas.openxmlformats.org/spreadsheetml/2006/main" count="48" uniqueCount="48">
  <si>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Всього зменшення витрат  матеріалів на суму: </t>
  </si>
  <si>
    <t>РОЗРАХУНОК</t>
  </si>
  <si>
    <t xml:space="preserve">де Токуп. -термін окупності заходу </t>
  </si>
  <si>
    <t>2. Економія енергоресурсів та матеріалів складе:</t>
  </si>
  <si>
    <t>2.2.1. Витрати матеріалів на усунення поривів:</t>
  </si>
  <si>
    <t>2.1.1. Зменшення втрат теплової енергії в т.у.п. складає:</t>
  </si>
  <si>
    <t>2.1.2. Всього зменшення втрат теплової енергії складає на суму:</t>
  </si>
  <si>
    <t xml:space="preserve">2.2. Зменшення матеріальних витрат складає:  </t>
  </si>
  <si>
    <t xml:space="preserve">                                                                                                       (в цінах без ПДВ)</t>
  </si>
  <si>
    <t>ЗАТВЕРДЖУЮ</t>
  </si>
  <si>
    <t xml:space="preserve">ТОВ "Сумитеплоенерго" </t>
  </si>
  <si>
    <t xml:space="preserve">________________________Н.Г.Покутня </t>
  </si>
  <si>
    <t>Заст. директора з роботи т/мереж і котелень</t>
  </si>
  <si>
    <t xml:space="preserve">Начальник ВОПР                                                                                           Литвинова Т.В. </t>
  </si>
  <si>
    <t xml:space="preserve">економічної ефективності від впровадження  заходу: "Модернізація теплової мережі по вул.Скрябіна- вул.Індустріальній від ТК-601 до ТК-601-1, 2d630мм". </t>
  </si>
  <si>
    <t xml:space="preserve">2.1. Зменшення втрат теплової енергії після заміни аварійної ділянки  теплової мережі  по вул.Скрябіна - вул.Індустріальній  від ТК-601 до ТК-601-1, 2d630 мм  протяжністю 91,0 м  у 2-х тр. вимірі на трубопроводи в ППУ ізоляції складе:
</t>
  </si>
  <si>
    <r>
      <t xml:space="preserve">      (q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109 - ((109 Вт/м-79Вт/м)/(150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С-95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С))*(110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С-95</t>
    </r>
    <r>
      <rPr>
        <vertAlign val="superscript"/>
        <sz val="12"/>
        <rFont val="Times New Roman"/>
        <family val="1"/>
      </rPr>
      <t>0</t>
    </r>
    <r>
      <rPr>
        <sz val="12"/>
        <rFont val="Times New Roman"/>
        <family val="1"/>
      </rPr>
      <t>С)) = 109 - 8,18 = 100,82 Вт/м - норма теплових втрат на 1 м подавального трубопроводу діаметром 630 мм (КТМ 204 примітки 1,2 до таблиці Д.2.7),  розраховано шляхом інтерполяції;</t>
    </r>
  </si>
  <si>
    <r>
      <t>де: Q</t>
    </r>
    <r>
      <rPr>
        <vertAlign val="subscript"/>
        <sz val="12"/>
        <rFont val="Times New Roman"/>
        <family val="1"/>
      </rPr>
      <t>зм.втрат</t>
    </r>
    <r>
      <rPr>
        <sz val="12"/>
        <rFont val="Times New Roman"/>
        <family val="1"/>
      </rPr>
      <t xml:space="preserve"> - зменшення втрат теплової енергії в т/мережах, Гкал 
      </t>
    </r>
    <r>
      <rPr>
        <b/>
        <sz val="12"/>
        <rFont val="Times New Roman"/>
        <family val="1"/>
      </rPr>
      <t>q</t>
    </r>
    <r>
      <rPr>
        <b/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= 100,82 Вт/м:</t>
    </r>
  </si>
  <si>
    <r>
      <t xml:space="preserve">      </t>
    </r>
    <r>
      <rPr>
        <b/>
        <sz val="12"/>
        <rFont val="Times New Roman"/>
        <family val="1"/>
      </rPr>
      <t>L</t>
    </r>
    <r>
      <rPr>
        <sz val="12"/>
        <rFont val="Times New Roman"/>
        <family val="1"/>
      </rPr>
      <t xml:space="preserve"> - 91 п.м., протяжність ділянки теплової мережі у 2-х трубному вимірі, що підлягає модернізації;</t>
    </r>
  </si>
  <si>
    <r>
      <t xml:space="preserve">     </t>
    </r>
    <r>
      <rPr>
        <b/>
        <sz val="12"/>
        <rFont val="Times New Roman"/>
        <family val="1"/>
      </rPr>
      <t xml:space="preserve"> β</t>
    </r>
    <r>
      <rPr>
        <sz val="12"/>
        <rFont val="Times New Roman"/>
        <family val="1"/>
      </rPr>
      <t xml:space="preserve"> - коефіцієнт, який враховує втрату теплоти опорами, арматурою та компенсаторами, що приймається при безканальній прокладці -1,15; в тунелях та каналах - 1,2; при надземній прокладці - 1,25 (КТМ 204, примітка до таблиць додатку 2);</t>
    </r>
  </si>
  <si>
    <r>
      <rPr>
        <b/>
        <sz val="12"/>
        <rFont val="Times New Roman"/>
        <family val="1"/>
      </rPr>
      <t xml:space="preserve">     τ </t>
    </r>
    <r>
      <rPr>
        <sz val="12"/>
        <rFont val="Times New Roman"/>
        <family val="1"/>
      </rPr>
      <t>- 8424 год. - число годин роботи теплової мережі</t>
    </r>
  </si>
  <si>
    <r>
      <rPr>
        <b/>
        <sz val="12"/>
        <rFont val="Times New Roman"/>
        <family val="1"/>
      </rPr>
      <t xml:space="preserve">     3,6</t>
    </r>
    <r>
      <rPr>
        <sz val="12"/>
        <rFont val="Times New Roman"/>
        <family val="1"/>
      </rPr>
      <t xml:space="preserve"> - коефіцієнт переводу Вт/год в ГДж (КТМ 204 примітка до таблиць додатку 2);</t>
    </r>
  </si>
  <si>
    <r>
      <t xml:space="preserve">                                              Q</t>
    </r>
    <r>
      <rPr>
        <b/>
        <vertAlign val="subscript"/>
        <sz val="12"/>
        <rFont val="Times New Roman"/>
        <family val="1"/>
      </rPr>
      <t>т.у.п.</t>
    </r>
    <r>
      <rPr>
        <b/>
        <sz val="12"/>
        <rFont val="Times New Roman"/>
        <family val="1"/>
      </rPr>
      <t xml:space="preserve"> =  Q</t>
    </r>
    <r>
      <rPr>
        <b/>
        <vertAlign val="subscript"/>
        <sz val="12"/>
        <rFont val="Times New Roman"/>
        <family val="1"/>
      </rPr>
      <t>зм.втрат</t>
    </r>
    <r>
      <rPr>
        <b/>
        <sz val="12"/>
        <rFont val="Times New Roman"/>
        <family val="1"/>
      </rPr>
      <t xml:space="preserve">*К                                                              </t>
    </r>
    <r>
      <rPr>
        <sz val="12"/>
        <rFont val="Times New Roman"/>
        <family val="1"/>
      </rPr>
      <t xml:space="preserve"> (2)</t>
    </r>
  </si>
  <si>
    <r>
      <rPr>
        <b/>
        <sz val="12"/>
        <rFont val="Times New Roman"/>
        <family val="1"/>
      </rPr>
      <t xml:space="preserve">     1 ГДж</t>
    </r>
    <r>
      <rPr>
        <sz val="12"/>
        <rFont val="Times New Roman"/>
        <family val="1"/>
      </rPr>
      <t xml:space="preserve"> = 0,239 Гкал - співвідношення одиниць різних систем.</t>
    </r>
  </si>
  <si>
    <t>3. Загальна економія витрат відвпровадження заходу: "Модернізація теплової мережі по вул.Скрябіна- вул.Індустріальній від ТК-601 до ТК-601-1, 2d630мм"    складе:</t>
  </si>
  <si>
    <r>
      <t>В</t>
    </r>
    <r>
      <rPr>
        <b/>
        <vertAlign val="subscript"/>
        <sz val="12"/>
        <rFont val="Times New Roman"/>
        <family val="1"/>
      </rPr>
      <t>заг.екон.</t>
    </r>
    <r>
      <rPr>
        <b/>
        <sz val="12"/>
        <rFont val="Times New Roman"/>
        <family val="1"/>
      </rPr>
      <t xml:space="preserve"> = 204,08  + 91,77 + 106,61 = 402,46  тис.грн./рік  </t>
    </r>
  </si>
  <si>
    <t xml:space="preserve">         (365 днів - 14 днів на г.в.)*24 години = 8424 години;</t>
  </si>
  <si>
    <r>
      <t xml:space="preserve">За період 2017-2019 р.р. на ділянці даної теплової мережі від ТК-601 до ТК-601-1, усувалося 3 пориви.  Вартість усунення 1 пориву трубопроводу d630мм складає </t>
    </r>
    <r>
      <rPr>
        <b/>
        <sz val="12"/>
        <rFont val="Times New Roman"/>
        <family val="1"/>
      </rPr>
      <t xml:space="preserve">30,59 тис.грн. </t>
    </r>
    <r>
      <rPr>
        <sz val="12"/>
        <rFont val="Times New Roman"/>
        <family val="1"/>
      </rPr>
      <t xml:space="preserve"> (кошторис додається).     </t>
    </r>
  </si>
  <si>
    <r>
      <rPr>
        <b/>
        <sz val="12"/>
        <rFont val="Times New Roman"/>
        <family val="1"/>
      </rPr>
      <t>1.</t>
    </r>
    <r>
      <rPr>
        <sz val="12"/>
        <rFont val="Times New Roman"/>
        <family val="1"/>
      </rPr>
      <t xml:space="preserve"> Магістральна тепломережа по вул.Скрябіна- вул.Індустріальній від ТК-601 до ТК-601-1, являється тепловою мережею від ТЕЦ. Дана теплова мережа введена в експлуатацію в 1976 р., відпрацювала свій термін експлуатації, знаходиться в аварійному стані, потребує заміни.                                                       Даний захід передбачає заміну аварійної тепломережі від ТК-601 до ТК-601-1 2d630мм - загальною протяжністю 91 п.м. у 2-х трубному вимірі із застосуванням сучасних технологій і матеріалів.</t>
    </r>
  </si>
  <si>
    <t xml:space="preserve">     Розрахунок економії теплової енергії від впровадження заходу: "Модернізація теплової мережі по вул.Скрябіна- вул.Індустріальній від ТК-601 до ТК-601-1, 2d630мм"  здійснено у відповідності до  «Норм та вказівок по нормуванню витрат палива та теплової енергії на опалення житлових та громадських споруд, а також на господарсько-побутові потреби в Україні» КТМ 204 Україна 244-94.</t>
  </si>
  <si>
    <t>Qт.у.п. =  159,59 Гкал *0,172 =  27,45 т.у.п.</t>
  </si>
  <si>
    <t xml:space="preserve">Вт.е.  = 159,59 * 1,2788 = 204,08  тис.грн./рік  </t>
  </si>
  <si>
    <t xml:space="preserve">  Втеплон. = 2 683,37 * 0,03973 = 106,61 тис.грн./рік</t>
  </si>
  <si>
    <r>
      <t xml:space="preserve">                         Qзм.втрат  = (q*L*β*10</t>
    </r>
    <r>
      <rPr>
        <b/>
        <vertAlign val="superscript"/>
        <sz val="12"/>
        <rFont val="Times New Roman"/>
        <family val="1"/>
      </rPr>
      <t>-6</t>
    </r>
    <r>
      <rPr>
        <b/>
        <sz val="12"/>
        <rFont val="Times New Roman"/>
        <family val="1"/>
      </rPr>
      <t xml:space="preserve"> *τ) *3,6*2,</t>
    </r>
    <r>
      <rPr>
        <sz val="12"/>
        <rFont val="Times New Roman"/>
        <family val="1"/>
      </rPr>
      <t xml:space="preserve">                                          </t>
    </r>
    <r>
      <rPr>
        <b/>
        <sz val="12"/>
        <rFont val="Times New Roman"/>
        <family val="1"/>
      </rPr>
      <t xml:space="preserve">      </t>
    </r>
    <r>
      <rPr>
        <sz val="12"/>
        <rFont val="Times New Roman"/>
        <family val="1"/>
      </rPr>
      <t>(1)</t>
    </r>
  </si>
  <si>
    <r>
      <t>Qзм.втрат  = (100,82*91*1,2*10</t>
    </r>
    <r>
      <rPr>
        <b/>
        <vertAlign val="superscript"/>
        <sz val="12"/>
        <rFont val="Times New Roman"/>
        <family val="1"/>
      </rPr>
      <t>-6</t>
    </r>
    <r>
      <rPr>
        <b/>
        <sz val="12"/>
        <rFont val="Times New Roman"/>
        <family val="1"/>
      </rPr>
      <t xml:space="preserve"> *8424) *3,6*2 = 667,76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ГДж *0,239 = 159, 59 Гкал</t>
    </r>
    <r>
      <rPr>
        <sz val="12"/>
        <rFont val="Times New Roman"/>
        <family val="1"/>
      </rPr>
      <t xml:space="preserve">      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(1)</t>
    </r>
  </si>
  <si>
    <r>
      <t>де: Q</t>
    </r>
    <r>
      <rPr>
        <vertAlign val="sub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- зменшення втрат теплової енергії в т/мережах, т.у.п.;
     Q</t>
    </r>
    <r>
      <rPr>
        <vertAlign val="subscript"/>
        <sz val="12"/>
        <rFont val="Times New Roman"/>
        <family val="1"/>
      </rPr>
      <t>зм.втрат</t>
    </r>
    <r>
      <rPr>
        <sz val="12"/>
        <rFont val="Times New Roman"/>
        <family val="1"/>
      </rPr>
      <t xml:space="preserve"> - зменшення втрат теплової енергії в т/мережах, Гкал 
      К - коефіцієнт переводу Гкал в т.у.п.  = 0,172 (довідка додається)</t>
    </r>
  </si>
  <si>
    <r>
      <t xml:space="preserve">                                       В'мат. = Вмат.* p                                                                          </t>
    </r>
    <r>
      <rPr>
        <sz val="12"/>
        <rFont val="Times New Roman"/>
        <family val="1"/>
      </rPr>
      <t>(4)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де  В'мат. - зменшення  матеріальних  витрат при усуненні пориву тр-ду d630 мм, тис.грн./рік;
      р - кількість поривів
                              </t>
    </r>
    <r>
      <rPr>
        <b/>
        <sz val="12"/>
        <rFont val="Times New Roman"/>
        <family val="1"/>
      </rPr>
      <t xml:space="preserve">В'мат. = 30,59 * 3 = 91,77  тис.грн./рік </t>
    </r>
  </si>
  <si>
    <r>
      <t xml:space="preserve">   </t>
    </r>
    <r>
      <rPr>
        <b/>
        <sz val="12"/>
        <rFont val="Times New Roman"/>
        <family val="1"/>
      </rPr>
      <t xml:space="preserve"> Gтеплон.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=  (77*2*0,389*2)*3 + (510*2*0,296*2)*3+(205*2*0,2083*2)*3 = 2 683,37 м3</t>
    </r>
  </si>
  <si>
    <r>
      <t xml:space="preserve">                                                          </t>
    </r>
    <r>
      <rPr>
        <b/>
        <sz val="12"/>
        <rFont val="Times New Roman"/>
        <family val="1"/>
      </rPr>
      <t xml:space="preserve"> Вт.е. = Qзм.втрат * С,                                                      </t>
    </r>
    <r>
      <rPr>
        <sz val="12"/>
        <rFont val="Times New Roman"/>
        <family val="1"/>
      </rPr>
      <t>(3)
де Вт.е. = зменшення втрат теплової енергії в тис.грн./рік
     С = собівартість 1 Гкал. на 01.07.2019 р.(довідка додається) = 1,2788 тис.грн.</t>
    </r>
  </si>
  <si>
    <r>
      <t xml:space="preserve"> Об'єм  злитого та теплоносія на заповнення  складає:  
              </t>
    </r>
    <r>
      <rPr>
        <b/>
        <sz val="12"/>
        <rFont val="Times New Roman"/>
        <family val="1"/>
      </rPr>
      <t>Gтеплон. = ( L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>* 2 *q в.</t>
    </r>
    <r>
      <rPr>
        <b/>
        <vertAlign val="subscript"/>
        <sz val="12"/>
        <rFont val="Times New Roman"/>
        <family val="1"/>
      </rPr>
      <t>1</t>
    </r>
    <r>
      <rPr>
        <b/>
        <sz val="12"/>
        <rFont val="Times New Roman"/>
        <family val="1"/>
      </rPr>
      <t xml:space="preserve"> *2)*р + ( L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* 2 * q в.</t>
    </r>
    <r>
      <rPr>
        <b/>
        <vertAlign val="subscript"/>
        <sz val="12"/>
        <rFont val="Times New Roman"/>
        <family val="1"/>
      </rPr>
      <t>2</t>
    </r>
    <r>
      <rPr>
        <b/>
        <sz val="12"/>
        <rFont val="Times New Roman"/>
        <family val="1"/>
      </rPr>
      <t xml:space="preserve"> *2)*р+ ( L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* 2 * q в.</t>
    </r>
    <r>
      <rPr>
        <b/>
        <vertAlign val="sub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 *2)*р,</t>
    </r>
    <r>
      <rPr>
        <sz val="12"/>
        <rFont val="Times New Roman"/>
        <family val="1"/>
      </rPr>
      <t xml:space="preserve">         (5)</t>
    </r>
  </si>
  <si>
    <t xml:space="preserve">де Gтеплон. - об'єм злитого та наповненого теплоносія при усуненні пориву, м3, згідно табл.2-5 "Довідника майстра т/м" (додається);   
L - протяжність т/мережі у 2-х тр.вим., теплоносій з якої зливається,м 
qв.1 - водяний об'єм 1м трубопроводу d530 мм=0,2083 м3/м;                                                                                qв.2 - водяний об'єм 1м трубопроводу d630мм =0,296 м3/м;                                                                                                                          qв.3 - водяний об'єм 1м трубопроводу d720мм =0,389 м3/м;
р- кількість поривів- 3 пориви.          </t>
  </si>
  <si>
    <r>
      <t xml:space="preserve">2.2.3. Всього зменшення втрат мережної води на суму:   
</t>
    </r>
    <r>
      <rPr>
        <b/>
        <sz val="12"/>
        <rFont val="Times New Roman"/>
        <family val="1"/>
      </rPr>
      <t xml:space="preserve">
                                        В теплон.  =  Gтеплон. * Вхво                              </t>
    </r>
    <r>
      <rPr>
        <sz val="12"/>
        <rFont val="Times New Roman"/>
        <family val="1"/>
      </rPr>
      <t xml:space="preserve">                             (6)</t>
    </r>
  </si>
  <si>
    <r>
      <t>де В</t>
    </r>
    <r>
      <rPr>
        <vertAlign val="subscript"/>
        <sz val="12"/>
        <rFont val="Times New Roman"/>
        <family val="1"/>
      </rPr>
      <t xml:space="preserve"> теплон.</t>
    </r>
    <r>
      <rPr>
        <sz val="12"/>
        <rFont val="Times New Roman"/>
        <family val="1"/>
      </rPr>
      <t>- зменшення втрат мережної води в тис.грн.;  
G</t>
    </r>
    <r>
      <rPr>
        <vertAlign val="subscript"/>
        <sz val="12"/>
        <rFont val="Times New Roman"/>
        <family val="1"/>
      </rPr>
      <t>теплон.</t>
    </r>
    <r>
      <rPr>
        <sz val="12"/>
        <rFont val="Times New Roman"/>
        <family val="1"/>
      </rPr>
      <t>-об'єм злитого та наповненого теплоносія в т/мережі;       
Вхво  -  вартість 1,0 м3 хімводоочищеної води =  0,03973 тис.грн. (калькуляція додається).</t>
    </r>
  </si>
  <si>
    <r>
      <t>4. Капіталовкладення по об'єкту : "Модернізація теплової мережі по вул.Скрябіна- вул.Індустріальній від ТК-601 до ТК-601-1, 2d630мм" 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складає:  </t>
    </r>
    <r>
      <rPr>
        <b/>
        <sz val="12"/>
        <rFont val="Times New Roman"/>
        <family val="1"/>
      </rPr>
      <t xml:space="preserve">В буд. = 2 664,30 тис.грн. </t>
    </r>
    <r>
      <rPr>
        <sz val="12"/>
        <rFont val="Times New Roman"/>
        <family val="1"/>
      </rPr>
      <t xml:space="preserve">                       </t>
    </r>
  </si>
  <si>
    <r>
      <t xml:space="preserve">                       Взаг.екон. = Вт.е. + Вмат.заг.  + Втеплон.                          </t>
    </r>
    <r>
      <rPr>
        <sz val="12"/>
        <rFont val="Times New Roman"/>
        <family val="1"/>
      </rPr>
      <t xml:space="preserve">             (7)</t>
    </r>
  </si>
  <si>
    <r>
      <t xml:space="preserve">5.Термін окупності заходу складає: </t>
    </r>
    <r>
      <rPr>
        <b/>
        <sz val="12"/>
        <rFont val="Times New Roman"/>
        <family val="1"/>
      </rPr>
      <t xml:space="preserve">  
                                               Токуп. = В буд./ Взаг.екон.                                                         </t>
    </r>
    <r>
      <rPr>
        <sz val="12"/>
        <rFont val="Times New Roman"/>
        <family val="1"/>
      </rPr>
      <t xml:space="preserve">  (8)</t>
    </r>
  </si>
  <si>
    <t xml:space="preserve">2.2.2. Зменшення втрат мережної води:
При усунені  пориву, в зв'язку з тим, що секційні засувки встановлені в ТК-601 та ТК-605,  відключалася  ділянка тепломережі  від ТК-601 до ТК-605, в т.ч.: 
ТК-601- ТК-601-1  2d720мм, L=77 м ;                                                                                                       
ТК-601 -ТК-601-1- ТК-602 - ТК-603 - ТК-603-1-ТК-604, 2d630мм, L=510м (91м+137м +127м+75м+80м),                                                                                                                                                                                                                          ТК-604- ТК-605  2d530мм, L=205 м;
теплоносій зливається, після  усунення пориву мережа знову заповнюється. </t>
  </si>
  <si>
    <t>Токуп.  = 1828,1/ 402,46  = 4,54 роки = 54,48 місяці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</si>
</sst>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 грнн&quot;;\-#,##0&quot; грнн&quot;"/>
    <numFmt numFmtId="181" formatCode="#,##0&quot; грнн&quot;;[Red]\-#,##0&quot; грнн&quot;"/>
    <numFmt numFmtId="182" formatCode="#,##0.00&quot; грнн&quot;;\-#,##0.00&quot; грнн&quot;"/>
    <numFmt numFmtId="183" formatCode="#,##0.00&quot; грнн&quot;;[Red]\-#,##0.00&quot; грнн&quot;"/>
    <numFmt numFmtId="184" formatCode="_-* #,##0&quot; грнн&quot;_-;\-* #,##0&quot; грнн&quot;_-;_-* &quot;-&quot;&quot; грнн&quot;_-;_-@_-"/>
    <numFmt numFmtId="185" formatCode="_-* #,##0_ _г_р_н_._-;\-* #,##0_ _г_р_н_._-;_-* &quot;-&quot;_ _г_р_н_._-;_-@_-"/>
    <numFmt numFmtId="186" formatCode="_-* #,##0.00&quot; грнн&quot;_-;\-* #,##0.00&quot; грнн&quot;_-;_-* &quot;-&quot;??&quot; грнн&quot;_-;_-@_-"/>
    <numFmt numFmtId="187" formatCode="_-* #,##0.00_ _г_р_н_._-;\-* #,##0.00_ _г_р_н_._-;_-* &quot;-&quot;??_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000"/>
    <numFmt numFmtId="209" formatCode="0.00000"/>
    <numFmt numFmtId="210" formatCode="0.000"/>
    <numFmt numFmtId="211" formatCode="0.0"/>
    <numFmt numFmtId="212" formatCode="0.000000"/>
    <numFmt numFmtId="213" formatCode="0.0000000"/>
    <numFmt numFmtId="214" formatCode="0.00000000"/>
    <numFmt numFmtId="215" formatCode="0.000000000"/>
    <numFmt numFmtId="216" formatCode="[$-FC19]d\ mmmm\ yyyy\ &quot;г.&quot;"/>
    <numFmt numFmtId="217" formatCode="#,##0.000"/>
    <numFmt numFmtId="218" formatCode="#,##0.0000"/>
    <numFmt numFmtId="219" formatCode="#,##0.00000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alibri"/>
      <family val="2"/>
    </font>
    <font>
      <sz val="10"/>
      <name val="Calibri"/>
      <family val="2"/>
    </font>
    <font>
      <b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4" fontId="0" fillId="11" borderId="0" xfId="0" applyNumberFormat="1" applyFont="1" applyFill="1" applyAlignment="1">
      <alignment horizontal="center"/>
    </xf>
    <xf numFmtId="4" fontId="0" fillId="11" borderId="0" xfId="0" applyNumberFormat="1" applyFont="1" applyFill="1" applyAlignment="1">
      <alignment horizontal="left"/>
    </xf>
    <xf numFmtId="210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1" fillId="33" borderId="0" xfId="0" applyFont="1" applyFill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right" vertical="center" wrapText="1"/>
    </xf>
    <xf numFmtId="0" fontId="1" fillId="33" borderId="0" xfId="0" applyNumberFormat="1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S\Local%20Settings\Temporary%20Internet%20Files\Content.Outlook\8B413YSL\10-&#1053;&#1050;&#1056;&#1045;&#1050;&#1055;-&#1090;&#1077;&#1093;&#1085;&#1110;&#1095;&#1085;&#1080;&#1081;%20&#1087;&#1072;&#1089;&#1087;&#1086;&#1088;&#1090;%20&#1090;&#1077;&#1087;&#1083;&#1086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-НКРЕКП"/>
      <sheetName val="ДОДАТОК 1"/>
      <sheetName val="ДОДАТОК 2"/>
      <sheetName val="ДОДАТОК 3"/>
      <sheetName val="ДОДАТОК 4"/>
      <sheetName val="ДОДАТОК 5"/>
      <sheetName val=" ДОДАТОК 6"/>
      <sheetName val="ДОДАТОК 7"/>
      <sheetName val="ДОДАТОК 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73"/>
  <sheetViews>
    <sheetView tabSelected="1" zoomScalePageLayoutView="0" workbookViewId="0" topLeftCell="A39">
      <selection activeCell="Z50" sqref="Z50"/>
    </sheetView>
  </sheetViews>
  <sheetFormatPr defaultColWidth="9.140625" defaultRowHeight="12.75"/>
  <cols>
    <col min="1" max="2" width="9.57421875" style="0" customWidth="1"/>
    <col min="3" max="3" width="10.8515625" style="0" customWidth="1"/>
    <col min="4" max="4" width="6.421875" style="0" customWidth="1"/>
    <col min="5" max="8" width="9.57421875" style="0" customWidth="1"/>
    <col min="9" max="9" width="22.7109375" style="0" customWidth="1"/>
    <col min="10" max="10" width="11.421875" style="0" hidden="1" customWidth="1"/>
    <col min="11" max="11" width="12.00390625" style="0" hidden="1" customWidth="1"/>
    <col min="12" max="18" width="9.140625" style="0" hidden="1" customWidth="1"/>
    <col min="19" max="19" width="11.140625" style="0" hidden="1" customWidth="1"/>
    <col min="20" max="24" width="9.140625" style="0" hidden="1" customWidth="1"/>
    <col min="25" max="25" width="40.00390625" style="0" customWidth="1"/>
    <col min="26" max="26" width="22.140625" style="0" customWidth="1"/>
  </cols>
  <sheetData>
    <row r="1" spans="1:9" ht="15.75">
      <c r="A1" s="22"/>
      <c r="B1" s="22"/>
      <c r="C1" s="22"/>
      <c r="D1" s="22"/>
      <c r="E1" s="27" t="s">
        <v>9</v>
      </c>
      <c r="F1" s="27"/>
      <c r="G1" s="27"/>
      <c r="H1" s="27"/>
      <c r="I1" s="27"/>
    </row>
    <row r="2" spans="1:9" ht="15.75">
      <c r="A2" s="22"/>
      <c r="B2" s="22"/>
      <c r="C2" s="22"/>
      <c r="D2" s="22"/>
      <c r="E2" s="25" t="s">
        <v>12</v>
      </c>
      <c r="F2" s="25"/>
      <c r="G2" s="25"/>
      <c r="H2" s="25"/>
      <c r="I2" s="25"/>
    </row>
    <row r="3" spans="1:9" ht="15.75">
      <c r="A3" s="22"/>
      <c r="B3" s="22"/>
      <c r="C3" s="22"/>
      <c r="D3" s="22"/>
      <c r="E3" s="26" t="s">
        <v>10</v>
      </c>
      <c r="F3" s="26"/>
      <c r="G3" s="26"/>
      <c r="H3" s="26"/>
      <c r="I3" s="26"/>
    </row>
    <row r="4" spans="1:9" ht="15.75">
      <c r="A4" s="22"/>
      <c r="B4" s="22"/>
      <c r="C4" s="22"/>
      <c r="D4" s="22"/>
      <c r="E4" s="27" t="s">
        <v>11</v>
      </c>
      <c r="F4" s="27"/>
      <c r="G4" s="27"/>
      <c r="H4" s="27"/>
      <c r="I4" s="27"/>
    </row>
    <row r="5" spans="1:9" ht="15.75">
      <c r="A5" s="22"/>
      <c r="B5" s="22"/>
      <c r="C5" s="22"/>
      <c r="D5" s="22"/>
      <c r="E5" s="22"/>
      <c r="F5" s="22"/>
      <c r="G5" s="22"/>
      <c r="H5" s="22"/>
      <c r="I5" s="22"/>
    </row>
    <row r="6" spans="1:9" ht="12.75" customHeight="1">
      <c r="A6" s="22"/>
      <c r="B6" s="22"/>
      <c r="C6" s="22"/>
      <c r="D6" s="22"/>
      <c r="E6" s="22"/>
      <c r="F6" s="22"/>
      <c r="G6" s="22"/>
      <c r="H6" s="22"/>
      <c r="I6" s="22"/>
    </row>
    <row r="7" spans="1:9" ht="17.25" customHeight="1">
      <c r="A7" s="38" t="s">
        <v>1</v>
      </c>
      <c r="B7" s="38"/>
      <c r="C7" s="38"/>
      <c r="D7" s="38"/>
      <c r="E7" s="38"/>
      <c r="F7" s="38"/>
      <c r="G7" s="38"/>
      <c r="H7" s="38"/>
      <c r="I7" s="38"/>
    </row>
    <row r="8" spans="1:9" ht="60" customHeight="1">
      <c r="A8" s="36" t="s">
        <v>14</v>
      </c>
      <c r="B8" s="38"/>
      <c r="C8" s="38"/>
      <c r="D8" s="38"/>
      <c r="E8" s="38"/>
      <c r="F8" s="38"/>
      <c r="G8" s="38"/>
      <c r="H8" s="38"/>
      <c r="I8" s="38"/>
    </row>
    <row r="9" spans="1:9" ht="31.5" customHeight="1">
      <c r="A9" s="39" t="s">
        <v>8</v>
      </c>
      <c r="B9" s="38"/>
      <c r="C9" s="38"/>
      <c r="D9" s="38"/>
      <c r="E9" s="38"/>
      <c r="F9" s="38"/>
      <c r="G9" s="38"/>
      <c r="H9" s="38"/>
      <c r="I9" s="38"/>
    </row>
    <row r="10" spans="1:9" ht="99" customHeight="1">
      <c r="A10" s="41" t="s">
        <v>28</v>
      </c>
      <c r="B10" s="41"/>
      <c r="C10" s="41"/>
      <c r="D10" s="41"/>
      <c r="E10" s="41"/>
      <c r="F10" s="41"/>
      <c r="G10" s="41"/>
      <c r="H10" s="41"/>
      <c r="I10" s="41"/>
    </row>
    <row r="11" spans="1:9" ht="88.5" customHeight="1">
      <c r="A11" s="41" t="s">
        <v>29</v>
      </c>
      <c r="B11" s="41"/>
      <c r="C11" s="41"/>
      <c r="D11" s="41"/>
      <c r="E11" s="41"/>
      <c r="F11" s="41"/>
      <c r="G11" s="41"/>
      <c r="H11" s="41"/>
      <c r="I11" s="41"/>
    </row>
    <row r="12" spans="1:12" ht="24.75" customHeight="1">
      <c r="A12" s="40" t="s">
        <v>3</v>
      </c>
      <c r="B12" s="40"/>
      <c r="C12" s="40"/>
      <c r="D12" s="40"/>
      <c r="E12" s="40"/>
      <c r="F12" s="40"/>
      <c r="G12" s="40"/>
      <c r="H12" s="40"/>
      <c r="I12" s="40"/>
      <c r="J12" s="5"/>
      <c r="K12" s="2"/>
      <c r="L12" s="2"/>
    </row>
    <row r="13" spans="1:12" ht="62.25" customHeight="1">
      <c r="A13" s="37" t="s">
        <v>15</v>
      </c>
      <c r="B13" s="37"/>
      <c r="C13" s="37"/>
      <c r="D13" s="37"/>
      <c r="E13" s="37"/>
      <c r="F13" s="37"/>
      <c r="G13" s="37"/>
      <c r="H13" s="37"/>
      <c r="I13" s="37"/>
      <c r="J13" s="5"/>
      <c r="K13" s="2"/>
      <c r="L13" s="2"/>
    </row>
    <row r="14" spans="1:25" ht="21" customHeight="1">
      <c r="A14" s="44" t="s">
        <v>33</v>
      </c>
      <c r="B14" s="45"/>
      <c r="C14" s="45"/>
      <c r="D14" s="45"/>
      <c r="E14" s="45"/>
      <c r="F14" s="45"/>
      <c r="G14" s="45"/>
      <c r="H14" s="45"/>
      <c r="I14" s="45"/>
      <c r="J14" s="12"/>
      <c r="K14" s="13"/>
      <c r="L14" s="2"/>
      <c r="Y14">
        <v>200.35</v>
      </c>
    </row>
    <row r="15" spans="1:12" ht="38.25" customHeight="1">
      <c r="A15" s="31" t="s">
        <v>17</v>
      </c>
      <c r="B15" s="32"/>
      <c r="C15" s="32"/>
      <c r="D15" s="32"/>
      <c r="E15" s="32"/>
      <c r="F15" s="32"/>
      <c r="G15" s="32"/>
      <c r="H15" s="32"/>
      <c r="I15" s="32"/>
      <c r="J15" s="12"/>
      <c r="K15" s="13"/>
      <c r="L15" s="2"/>
    </row>
    <row r="16" spans="1:25" ht="53.25" customHeight="1">
      <c r="A16" s="46" t="s">
        <v>16</v>
      </c>
      <c r="B16" s="46"/>
      <c r="C16" s="46"/>
      <c r="D16" s="46"/>
      <c r="E16" s="46"/>
      <c r="F16" s="46"/>
      <c r="G16" s="46"/>
      <c r="H16" s="46"/>
      <c r="I16" s="46"/>
      <c r="J16" s="12"/>
      <c r="K16" s="13"/>
      <c r="L16" s="2"/>
      <c r="Y16">
        <f>109-8.18</f>
        <v>100.82</v>
      </c>
    </row>
    <row r="17" spans="1:12" ht="42" customHeight="1">
      <c r="A17" s="46" t="s">
        <v>18</v>
      </c>
      <c r="B17" s="46"/>
      <c r="C17" s="46"/>
      <c r="D17" s="46"/>
      <c r="E17" s="46"/>
      <c r="F17" s="46"/>
      <c r="G17" s="46"/>
      <c r="H17" s="46"/>
      <c r="I17" s="46"/>
      <c r="J17" s="12"/>
      <c r="K17" s="13"/>
      <c r="L17" s="2"/>
    </row>
    <row r="18" spans="1:12" ht="50.25" customHeight="1">
      <c r="A18" s="46" t="s">
        <v>19</v>
      </c>
      <c r="B18" s="46"/>
      <c r="C18" s="46"/>
      <c r="D18" s="46"/>
      <c r="E18" s="46"/>
      <c r="F18" s="46"/>
      <c r="G18" s="46"/>
      <c r="H18" s="46"/>
      <c r="I18" s="46"/>
      <c r="J18" s="12"/>
      <c r="K18" s="13"/>
      <c r="L18" s="2"/>
    </row>
    <row r="19" spans="1:12" ht="19.5" customHeight="1">
      <c r="A19" s="46" t="s">
        <v>20</v>
      </c>
      <c r="B19" s="46"/>
      <c r="C19" s="46"/>
      <c r="D19" s="46"/>
      <c r="E19" s="46"/>
      <c r="F19" s="46"/>
      <c r="G19" s="46"/>
      <c r="H19" s="46"/>
      <c r="I19" s="46"/>
      <c r="J19" s="12"/>
      <c r="K19" s="13"/>
      <c r="L19" s="2"/>
    </row>
    <row r="20" spans="1:12" ht="19.5" customHeight="1">
      <c r="A20" s="46" t="s">
        <v>26</v>
      </c>
      <c r="B20" s="46"/>
      <c r="C20" s="46"/>
      <c r="D20" s="46"/>
      <c r="E20" s="46"/>
      <c r="F20" s="46"/>
      <c r="G20" s="46"/>
      <c r="H20" s="46"/>
      <c r="I20" s="46"/>
      <c r="J20" s="12"/>
      <c r="K20" s="13"/>
      <c r="L20" s="2"/>
    </row>
    <row r="21" spans="1:12" ht="19.5" customHeight="1">
      <c r="A21" s="46" t="s">
        <v>21</v>
      </c>
      <c r="B21" s="46"/>
      <c r="C21" s="46"/>
      <c r="D21" s="46"/>
      <c r="E21" s="46"/>
      <c r="F21" s="46"/>
      <c r="G21" s="46"/>
      <c r="H21" s="46"/>
      <c r="I21" s="46"/>
      <c r="J21" s="12"/>
      <c r="K21" s="13"/>
      <c r="L21" s="2"/>
    </row>
    <row r="22" spans="1:12" ht="19.5" customHeight="1">
      <c r="A22" s="46" t="s">
        <v>23</v>
      </c>
      <c r="B22" s="46"/>
      <c r="C22" s="46"/>
      <c r="D22" s="46"/>
      <c r="E22" s="46"/>
      <c r="F22" s="46"/>
      <c r="G22" s="46"/>
      <c r="H22" s="46"/>
      <c r="I22" s="46"/>
      <c r="J22" s="12"/>
      <c r="K22" s="13"/>
      <c r="L22" s="2"/>
    </row>
    <row r="23" spans="1:12" ht="19.5" customHeight="1">
      <c r="A23" s="44" t="s">
        <v>34</v>
      </c>
      <c r="B23" s="45"/>
      <c r="C23" s="45"/>
      <c r="D23" s="45"/>
      <c r="E23" s="45"/>
      <c r="F23" s="45"/>
      <c r="G23" s="45"/>
      <c r="H23" s="45"/>
      <c r="I23" s="45"/>
      <c r="J23" s="12"/>
      <c r="K23" s="13"/>
      <c r="L23" s="2"/>
    </row>
    <row r="24" spans="1:26" ht="31.5" customHeight="1">
      <c r="A24" s="23" t="s">
        <v>5</v>
      </c>
      <c r="B24" s="25"/>
      <c r="C24" s="25"/>
      <c r="D24" s="25"/>
      <c r="E24" s="25"/>
      <c r="F24" s="25"/>
      <c r="G24" s="25"/>
      <c r="H24" s="25"/>
      <c r="I24" s="25"/>
      <c r="J24" s="1"/>
      <c r="K24" s="1"/>
      <c r="L24" s="1"/>
      <c r="Y24" s="11">
        <f>'[1]ДОДАТОК 2'!$R$77</f>
        <v>0</v>
      </c>
      <c r="Z24" s="11">
        <f>'[1]ДОДАТОК 2'!$R$124</f>
        <v>0</v>
      </c>
    </row>
    <row r="25" spans="1:12" ht="26.25" customHeight="1">
      <c r="A25" s="48" t="s">
        <v>22</v>
      </c>
      <c r="B25" s="49"/>
      <c r="C25" s="49"/>
      <c r="D25" s="49"/>
      <c r="E25" s="49"/>
      <c r="F25" s="49"/>
      <c r="G25" s="49"/>
      <c r="H25" s="49"/>
      <c r="I25" s="49"/>
      <c r="J25" s="1"/>
      <c r="K25" s="1"/>
      <c r="L25" s="1"/>
    </row>
    <row r="26" spans="1:16" ht="60" customHeight="1">
      <c r="A26" s="31" t="s">
        <v>35</v>
      </c>
      <c r="B26" s="32"/>
      <c r="C26" s="32"/>
      <c r="D26" s="32"/>
      <c r="E26" s="32"/>
      <c r="F26" s="32"/>
      <c r="G26" s="32"/>
      <c r="H26" s="32"/>
      <c r="I26" s="32"/>
      <c r="J26" s="14"/>
      <c r="K26" s="15"/>
      <c r="L26" s="2"/>
      <c r="N26" s="2"/>
      <c r="O26" s="2"/>
      <c r="P26" s="1"/>
    </row>
    <row r="27" spans="1:26" ht="27" customHeight="1">
      <c r="A27" s="36" t="s">
        <v>30</v>
      </c>
      <c r="B27" s="38"/>
      <c r="C27" s="38"/>
      <c r="D27" s="38"/>
      <c r="E27" s="38"/>
      <c r="F27" s="38"/>
      <c r="G27" s="38"/>
      <c r="H27" s="38"/>
      <c r="I27" s="38"/>
      <c r="J27" s="14"/>
      <c r="K27" s="15"/>
      <c r="L27" s="2"/>
      <c r="N27" s="2"/>
      <c r="O27" s="2"/>
      <c r="P27" s="1"/>
      <c r="Y27" s="19">
        <f>159.59*0.172</f>
        <v>27.449479999999998</v>
      </c>
      <c r="Z27">
        <f>Z24*0.172</f>
        <v>0</v>
      </c>
    </row>
    <row r="28" spans="1:13" ht="26.25" customHeight="1">
      <c r="A28" s="23" t="s">
        <v>6</v>
      </c>
      <c r="B28" s="25"/>
      <c r="C28" s="25"/>
      <c r="D28" s="25"/>
      <c r="E28" s="25"/>
      <c r="F28" s="25"/>
      <c r="G28" s="25"/>
      <c r="H28" s="25"/>
      <c r="I28" s="25"/>
      <c r="J28" s="1"/>
      <c r="K28" s="1">
        <f>J28+J29</f>
        <v>0</v>
      </c>
      <c r="L28" s="1">
        <f>K28*0.239005736</f>
        <v>0</v>
      </c>
      <c r="M28">
        <f>L28*0.172</f>
        <v>0</v>
      </c>
    </row>
    <row r="29" spans="1:19" s="10" customFormat="1" ht="73.5" customHeight="1">
      <c r="A29" s="41" t="s">
        <v>38</v>
      </c>
      <c r="B29" s="47"/>
      <c r="C29" s="47"/>
      <c r="D29" s="47"/>
      <c r="E29" s="47"/>
      <c r="F29" s="47"/>
      <c r="G29" s="47"/>
      <c r="H29" s="47"/>
      <c r="I29" s="47"/>
      <c r="J29" s="16"/>
      <c r="K29" s="1"/>
      <c r="L29" s="2"/>
      <c r="M29"/>
      <c r="P29"/>
      <c r="Q29"/>
      <c r="R29"/>
      <c r="S29"/>
    </row>
    <row r="30" spans="1:26" ht="33" customHeight="1">
      <c r="A30" s="38" t="s">
        <v>31</v>
      </c>
      <c r="B30" s="38"/>
      <c r="C30" s="38"/>
      <c r="D30" s="38"/>
      <c r="E30" s="38"/>
      <c r="F30" s="38"/>
      <c r="G30" s="38"/>
      <c r="H30" s="38"/>
      <c r="I30" s="38"/>
      <c r="J30" s="1">
        <f>160.93*1.19812</f>
        <v>192.8134516</v>
      </c>
      <c r="K30" s="1">
        <f>154.48*1.19812</f>
        <v>185.0855776</v>
      </c>
      <c r="L30" s="2"/>
      <c r="Y30" s="19">
        <f>200.35*1.23022</f>
        <v>246.474577</v>
      </c>
      <c r="Z30">
        <f>Z24*1.23022</f>
        <v>0</v>
      </c>
    </row>
    <row r="31" spans="1:19" s="10" customFormat="1" ht="40.5" customHeight="1">
      <c r="A31" s="41" t="s">
        <v>7</v>
      </c>
      <c r="B31" s="41"/>
      <c r="C31" s="41"/>
      <c r="D31" s="41"/>
      <c r="E31" s="41"/>
      <c r="F31" s="41"/>
      <c r="G31" s="41"/>
      <c r="H31" s="41"/>
      <c r="I31" s="41"/>
      <c r="J31" s="2"/>
      <c r="K31" s="2"/>
      <c r="L31" s="2"/>
      <c r="M31"/>
      <c r="N31"/>
      <c r="O31"/>
      <c r="P31"/>
      <c r="Q31"/>
      <c r="R31"/>
      <c r="S31"/>
    </row>
    <row r="32" spans="1:12" ht="16.5" customHeight="1">
      <c r="A32" s="23" t="s">
        <v>4</v>
      </c>
      <c r="B32" s="23"/>
      <c r="C32" s="23"/>
      <c r="D32" s="23"/>
      <c r="E32" s="23"/>
      <c r="F32" s="23"/>
      <c r="G32" s="23"/>
      <c r="H32" s="23"/>
      <c r="I32" s="23"/>
      <c r="J32" s="2"/>
      <c r="K32" s="2"/>
      <c r="L32" s="2"/>
    </row>
    <row r="33" spans="1:12" ht="56.25" customHeight="1">
      <c r="A33" s="42" t="s">
        <v>27</v>
      </c>
      <c r="B33" s="43"/>
      <c r="C33" s="43"/>
      <c r="D33" s="43"/>
      <c r="E33" s="43"/>
      <c r="F33" s="43"/>
      <c r="G33" s="43"/>
      <c r="H33" s="43"/>
      <c r="I33" s="43"/>
      <c r="J33" s="4"/>
      <c r="K33" s="1"/>
      <c r="L33" s="2"/>
    </row>
    <row r="34" spans="1:12" ht="19.5" customHeight="1">
      <c r="A34" s="23" t="s">
        <v>0</v>
      </c>
      <c r="B34" s="23"/>
      <c r="C34" s="23"/>
      <c r="D34" s="23"/>
      <c r="E34" s="23"/>
      <c r="F34" s="23"/>
      <c r="G34" s="23"/>
      <c r="H34" s="23"/>
      <c r="I34" s="23"/>
      <c r="J34" s="2"/>
      <c r="K34" s="2"/>
      <c r="L34" s="2"/>
    </row>
    <row r="35" spans="1:25" s="6" customFormat="1" ht="70.5" customHeight="1">
      <c r="A35" s="32" t="s">
        <v>36</v>
      </c>
      <c r="B35" s="25"/>
      <c r="C35" s="25"/>
      <c r="D35" s="25"/>
      <c r="E35" s="25"/>
      <c r="F35" s="25"/>
      <c r="G35" s="25"/>
      <c r="H35" s="25"/>
      <c r="I35" s="25"/>
      <c r="J35" s="8">
        <f>22.63*3</f>
        <v>67.89</v>
      </c>
      <c r="K35" s="7"/>
      <c r="L35" s="7"/>
      <c r="Y35" s="20">
        <f>21.16649*6</f>
        <v>126.99894</v>
      </c>
    </row>
    <row r="36" spans="1:12" ht="150.75" customHeight="1">
      <c r="A36" s="28" t="s">
        <v>46</v>
      </c>
      <c r="B36" s="29"/>
      <c r="C36" s="29"/>
      <c r="D36" s="29"/>
      <c r="E36" s="29"/>
      <c r="F36" s="29"/>
      <c r="G36" s="29"/>
      <c r="H36" s="29"/>
      <c r="I36" s="29"/>
      <c r="J36" s="2"/>
      <c r="K36" s="2"/>
      <c r="L36" s="2"/>
    </row>
    <row r="37" spans="1:12" ht="70.5" customHeight="1">
      <c r="A37" s="31" t="s">
        <v>39</v>
      </c>
      <c r="B37" s="23"/>
      <c r="C37" s="23"/>
      <c r="D37" s="23"/>
      <c r="E37" s="23"/>
      <c r="F37" s="23"/>
      <c r="G37" s="23"/>
      <c r="H37" s="23"/>
      <c r="I37" s="23"/>
      <c r="J37" s="2"/>
      <c r="K37" s="2"/>
      <c r="L37" s="2"/>
    </row>
    <row r="38" spans="1:12" ht="129.75" customHeight="1">
      <c r="A38" s="31" t="s">
        <v>40</v>
      </c>
      <c r="B38" s="31"/>
      <c r="C38" s="31"/>
      <c r="D38" s="31"/>
      <c r="E38" s="31"/>
      <c r="F38" s="31"/>
      <c r="G38" s="31"/>
      <c r="H38" s="31"/>
      <c r="I38" s="31"/>
      <c r="J38" s="2"/>
      <c r="K38" s="2"/>
      <c r="L38" s="2"/>
    </row>
    <row r="39" spans="1:27" ht="35.25" customHeight="1">
      <c r="A39" s="30" t="s">
        <v>37</v>
      </c>
      <c r="B39" s="30"/>
      <c r="C39" s="30"/>
      <c r="D39" s="30"/>
      <c r="E39" s="30"/>
      <c r="F39" s="30"/>
      <c r="G39" s="30"/>
      <c r="H39" s="30"/>
      <c r="I39" s="30"/>
      <c r="J39" s="1">
        <f>(((233*2*0.2083*2)*3)+((262*2*0.296*2)*3))</f>
        <v>1513.0308</v>
      </c>
      <c r="K39" s="2"/>
      <c r="L39" s="2"/>
      <c r="Y39">
        <f>(((233*2*0.2083*2)*3)+((262*2*0.296*2)*3))</f>
        <v>1513.0308</v>
      </c>
      <c r="Z39">
        <f>((262*2*0.296*2)*3)</f>
        <v>930.6239999999999</v>
      </c>
      <c r="AA39">
        <f>SUM(Y39:Z39)</f>
        <v>2443.6548</v>
      </c>
    </row>
    <row r="40" spans="1:12" ht="62.25" customHeight="1">
      <c r="A40" s="31" t="s">
        <v>41</v>
      </c>
      <c r="B40" s="25"/>
      <c r="C40" s="25"/>
      <c r="D40" s="25"/>
      <c r="E40" s="25"/>
      <c r="F40" s="25"/>
      <c r="G40" s="25"/>
      <c r="H40" s="25"/>
      <c r="I40" s="25"/>
      <c r="J40" s="2"/>
      <c r="K40" s="2"/>
      <c r="L40" s="2"/>
    </row>
    <row r="41" spans="1:12" ht="82.5" customHeight="1">
      <c r="A41" s="31" t="s">
        <v>42</v>
      </c>
      <c r="B41" s="31"/>
      <c r="C41" s="31"/>
      <c r="D41" s="31"/>
      <c r="E41" s="31"/>
      <c r="F41" s="31"/>
      <c r="G41" s="31"/>
      <c r="H41" s="31"/>
      <c r="I41" s="31"/>
      <c r="J41" s="2"/>
      <c r="K41" s="2"/>
      <c r="L41" s="2"/>
    </row>
    <row r="42" spans="1:26" ht="30.75" customHeight="1">
      <c r="A42" s="36" t="s">
        <v>32</v>
      </c>
      <c r="B42" s="36"/>
      <c r="C42" s="36"/>
      <c r="D42" s="36"/>
      <c r="E42" s="36"/>
      <c r="F42" s="36"/>
      <c r="G42" s="36"/>
      <c r="H42" s="36"/>
      <c r="I42" s="36"/>
      <c r="J42" s="1">
        <f>1513.03*0.03973</f>
        <v>60.1126819</v>
      </c>
      <c r="K42" s="2"/>
      <c r="L42" s="2"/>
      <c r="Y42">
        <f>2683.37*0.03973</f>
        <v>106.6102901</v>
      </c>
      <c r="Z42">
        <v>60.11</v>
      </c>
    </row>
    <row r="43" spans="1:25" ht="55.5" customHeight="1">
      <c r="A43" s="37" t="s">
        <v>24</v>
      </c>
      <c r="B43" s="37"/>
      <c r="C43" s="37"/>
      <c r="D43" s="37"/>
      <c r="E43" s="37"/>
      <c r="F43" s="37"/>
      <c r="G43" s="37"/>
      <c r="H43" s="37"/>
      <c r="I43" s="37"/>
      <c r="J43" s="1"/>
      <c r="K43" s="2"/>
      <c r="L43" s="2"/>
      <c r="Y43">
        <f>Y42+Y35+Y30</f>
        <v>480.0838071</v>
      </c>
    </row>
    <row r="44" spans="1:12" ht="33.75" customHeight="1">
      <c r="A44" s="34" t="s">
        <v>44</v>
      </c>
      <c r="B44" s="35"/>
      <c r="C44" s="35"/>
      <c r="D44" s="35"/>
      <c r="E44" s="35"/>
      <c r="F44" s="35"/>
      <c r="G44" s="35"/>
      <c r="H44" s="35"/>
      <c r="I44" s="35"/>
      <c r="J44" s="1">
        <f>192.81+67.89+60.11</f>
        <v>320.81</v>
      </c>
      <c r="K44" s="1">
        <f>185.09+67.89+60.11</f>
        <v>313.09000000000003</v>
      </c>
      <c r="L44" s="2"/>
    </row>
    <row r="45" spans="1:26" ht="31.5" customHeight="1">
      <c r="A45" s="24" t="s">
        <v>25</v>
      </c>
      <c r="B45" s="24"/>
      <c r="C45" s="24"/>
      <c r="D45" s="24"/>
      <c r="E45" s="24"/>
      <c r="F45" s="24"/>
      <c r="G45" s="24"/>
      <c r="H45" s="24"/>
      <c r="I45" s="24"/>
      <c r="J45" s="1"/>
      <c r="K45" s="1"/>
      <c r="L45" s="2"/>
      <c r="Y45" s="18">
        <f>246.47+127+131.91</f>
        <v>505.38</v>
      </c>
      <c r="Z45">
        <f>320.81-Y45</f>
        <v>-184.57</v>
      </c>
    </row>
    <row r="46" spans="1:26" ht="59.25" customHeight="1">
      <c r="A46" s="33" t="s">
        <v>43</v>
      </c>
      <c r="B46" s="33"/>
      <c r="C46" s="33"/>
      <c r="D46" s="33"/>
      <c r="E46" s="33"/>
      <c r="F46" s="33"/>
      <c r="G46" s="33"/>
      <c r="H46" s="33"/>
      <c r="I46" s="33"/>
      <c r="J46" s="2"/>
      <c r="K46" s="2"/>
      <c r="L46" s="2"/>
      <c r="Y46" s="18">
        <f>Y45-Y42-Z30</f>
        <v>398.7697099</v>
      </c>
      <c r="Z46">
        <f>Y46+Z45</f>
        <v>214.19970990000002</v>
      </c>
    </row>
    <row r="47" spans="1:26" ht="40.5" customHeight="1">
      <c r="A47" s="31" t="s">
        <v>45</v>
      </c>
      <c r="B47" s="31"/>
      <c r="C47" s="31"/>
      <c r="D47" s="31"/>
      <c r="E47" s="31"/>
      <c r="F47" s="31"/>
      <c r="G47" s="31"/>
      <c r="H47" s="31"/>
      <c r="I47" s="31"/>
      <c r="J47" s="2"/>
      <c r="K47" s="2"/>
      <c r="L47" s="2"/>
      <c r="Y47">
        <f>Y46/3</f>
        <v>132.92323663333335</v>
      </c>
      <c r="Z47">
        <f>Z46/3</f>
        <v>71.3999033</v>
      </c>
    </row>
    <row r="48" spans="1:12" ht="32.25" customHeight="1">
      <c r="A48" s="31" t="s">
        <v>2</v>
      </c>
      <c r="B48" s="31"/>
      <c r="C48" s="31"/>
      <c r="D48" s="31"/>
      <c r="E48" s="31"/>
      <c r="F48" s="31"/>
      <c r="G48" s="31"/>
      <c r="H48" s="31"/>
      <c r="I48" s="31"/>
      <c r="J48" s="2"/>
      <c r="K48" s="2"/>
      <c r="L48" s="2"/>
    </row>
    <row r="49" spans="1:26" ht="30" customHeight="1">
      <c r="A49" s="24" t="s">
        <v>47</v>
      </c>
      <c r="B49" s="24"/>
      <c r="C49" s="24"/>
      <c r="D49" s="24"/>
      <c r="E49" s="24"/>
      <c r="F49" s="24"/>
      <c r="G49" s="24"/>
      <c r="H49" s="24"/>
      <c r="I49" s="24"/>
      <c r="J49" s="1">
        <f>2446.52/320.81</f>
        <v>7.626071506499174</v>
      </c>
      <c r="K49" s="17">
        <v>7.63</v>
      </c>
      <c r="L49" s="1">
        <f>K49*12</f>
        <v>91.56</v>
      </c>
      <c r="Y49">
        <f>1828.1/402.46</f>
        <v>4.542314764200169</v>
      </c>
      <c r="Z49" s="21">
        <f>4.54*12</f>
        <v>54.480000000000004</v>
      </c>
    </row>
    <row r="50" spans="1:12" ht="15.75">
      <c r="A50" s="3"/>
      <c r="B50" s="3"/>
      <c r="C50" s="3"/>
      <c r="D50" s="3"/>
      <c r="E50" s="3"/>
      <c r="F50" s="3"/>
      <c r="G50" s="3"/>
      <c r="H50" s="3"/>
      <c r="I50" s="3"/>
      <c r="J50" s="2"/>
      <c r="K50" s="2"/>
      <c r="L50" s="2"/>
    </row>
    <row r="51" spans="1:12" ht="48" customHeight="1">
      <c r="A51" s="32" t="s">
        <v>13</v>
      </c>
      <c r="B51" s="32"/>
      <c r="C51" s="32"/>
      <c r="D51" s="32"/>
      <c r="E51" s="32"/>
      <c r="F51" s="32"/>
      <c r="G51" s="32"/>
      <c r="H51" s="32"/>
      <c r="I51" s="32"/>
      <c r="J51" s="2"/>
      <c r="K51" s="2"/>
      <c r="L51" s="2"/>
    </row>
    <row r="52" spans="1:12" ht="15.75">
      <c r="A52" s="9"/>
      <c r="B52" s="9"/>
      <c r="C52" s="9"/>
      <c r="D52" s="9"/>
      <c r="E52" s="9"/>
      <c r="F52" s="9"/>
      <c r="G52" s="9"/>
      <c r="H52" s="9"/>
      <c r="I52" s="9"/>
      <c r="J52" s="2"/>
      <c r="K52" s="2"/>
      <c r="L52" s="2"/>
    </row>
    <row r="53" spans="10:12" ht="12.75">
      <c r="J53" s="2"/>
      <c r="K53" s="2"/>
      <c r="L53" s="2"/>
    </row>
    <row r="54" spans="10:12" ht="12.75">
      <c r="J54" s="2"/>
      <c r="K54" s="2"/>
      <c r="L54" s="2"/>
    </row>
    <row r="55" spans="10:12" ht="12.75">
      <c r="J55" s="2"/>
      <c r="K55" s="2"/>
      <c r="L55" s="2"/>
    </row>
    <row r="56" spans="10:12" ht="12.75">
      <c r="J56" s="2"/>
      <c r="K56" s="2"/>
      <c r="L56" s="2"/>
    </row>
    <row r="57" spans="10:12" ht="12.75">
      <c r="J57" s="2"/>
      <c r="K57" s="2"/>
      <c r="L57" s="2"/>
    </row>
    <row r="58" spans="10:12" ht="12.75">
      <c r="J58" s="2"/>
      <c r="K58" s="2"/>
      <c r="L58" s="2"/>
    </row>
    <row r="59" spans="10:12" ht="12.75">
      <c r="J59" s="2"/>
      <c r="K59" s="2"/>
      <c r="L59" s="2"/>
    </row>
    <row r="60" spans="10:12" ht="12.75">
      <c r="J60" s="2"/>
      <c r="K60" s="2"/>
      <c r="L60" s="2"/>
    </row>
    <row r="61" spans="10:12" ht="12.75">
      <c r="J61" s="2"/>
      <c r="K61" s="2"/>
      <c r="L61" s="2"/>
    </row>
    <row r="62" spans="10:12" ht="12.75">
      <c r="J62" s="2"/>
      <c r="K62" s="2"/>
      <c r="L62" s="2"/>
    </row>
    <row r="63" spans="10:12" ht="12.75">
      <c r="J63" s="2"/>
      <c r="K63" s="2"/>
      <c r="L63" s="2"/>
    </row>
    <row r="64" spans="10:12" ht="12.75">
      <c r="J64" s="2"/>
      <c r="K64" s="2"/>
      <c r="L64" s="2"/>
    </row>
    <row r="65" spans="10:12" ht="12.75">
      <c r="J65" s="2"/>
      <c r="K65" s="2"/>
      <c r="L65" s="2"/>
    </row>
    <row r="66" spans="10:12" ht="12.75">
      <c r="J66" s="2"/>
      <c r="K66" s="2"/>
      <c r="L66" s="2"/>
    </row>
    <row r="67" spans="10:12" ht="12.75">
      <c r="J67" s="2"/>
      <c r="K67" s="2"/>
      <c r="L67" s="2"/>
    </row>
    <row r="68" spans="10:12" ht="12.75">
      <c r="J68" s="2"/>
      <c r="K68" s="2"/>
      <c r="L68" s="2"/>
    </row>
    <row r="69" spans="10:12" ht="12.75">
      <c r="J69" s="2"/>
      <c r="K69" s="2"/>
      <c r="L69" s="2"/>
    </row>
    <row r="70" spans="10:12" ht="12.75">
      <c r="J70" s="2"/>
      <c r="K70" s="2"/>
      <c r="L70" s="2"/>
    </row>
    <row r="71" spans="10:12" ht="12.75">
      <c r="J71" s="2"/>
      <c r="K71" s="2"/>
      <c r="L71" s="2"/>
    </row>
    <row r="72" spans="10:12" ht="12.75">
      <c r="J72" s="2"/>
      <c r="K72" s="2"/>
      <c r="L72" s="2"/>
    </row>
    <row r="73" spans="10:12" ht="12.75">
      <c r="J73" s="2"/>
      <c r="K73" s="2"/>
      <c r="L73" s="2"/>
    </row>
  </sheetData>
  <sheetProtection/>
  <mergeCells count="48">
    <mergeCell ref="E1:I1"/>
    <mergeCell ref="A20:I20"/>
    <mergeCell ref="A21:I21"/>
    <mergeCell ref="A22:I22"/>
    <mergeCell ref="A23:I23"/>
    <mergeCell ref="A10:I10"/>
    <mergeCell ref="A15:I15"/>
    <mergeCell ref="A16:I16"/>
    <mergeCell ref="A17:I17"/>
    <mergeCell ref="A18:I18"/>
    <mergeCell ref="A28:I28"/>
    <mergeCell ref="A29:I29"/>
    <mergeCell ref="A30:I30"/>
    <mergeCell ref="A31:I31"/>
    <mergeCell ref="A24:I24"/>
    <mergeCell ref="A27:I27"/>
    <mergeCell ref="A26:I26"/>
    <mergeCell ref="A25:I25"/>
    <mergeCell ref="A7:I7"/>
    <mergeCell ref="A8:I8"/>
    <mergeCell ref="A9:I9"/>
    <mergeCell ref="A12:I12"/>
    <mergeCell ref="A11:I11"/>
    <mergeCell ref="A33:I33"/>
    <mergeCell ref="A32:I32"/>
    <mergeCell ref="A13:I13"/>
    <mergeCell ref="A14:I14"/>
    <mergeCell ref="A19:I19"/>
    <mergeCell ref="A51:I51"/>
    <mergeCell ref="A46:I46"/>
    <mergeCell ref="A47:I47"/>
    <mergeCell ref="A48:I48"/>
    <mergeCell ref="A49:I49"/>
    <mergeCell ref="A40:I40"/>
    <mergeCell ref="A44:I44"/>
    <mergeCell ref="A41:I41"/>
    <mergeCell ref="A42:I42"/>
    <mergeCell ref="A43:I43"/>
    <mergeCell ref="A34:I34"/>
    <mergeCell ref="A45:I45"/>
    <mergeCell ref="E2:I2"/>
    <mergeCell ref="E3:I3"/>
    <mergeCell ref="E4:I4"/>
    <mergeCell ref="A36:I36"/>
    <mergeCell ref="A39:I39"/>
    <mergeCell ref="A37:I37"/>
    <mergeCell ref="A38:I38"/>
    <mergeCell ref="A35:I35"/>
  </mergeCells>
  <printOptions/>
  <pageMargins left="0.8267716535433072" right="0.2362204724409449" top="0.5511811023622047" bottom="0.5511811023622047" header="0.31496062992125984" footer="0.31496062992125984"/>
  <pageSetup horizontalDpi="600" verticalDpi="600" orientation="portrait" paperSize="9" scale="92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2020-08-25T09:59:58Z</cp:lastPrinted>
  <dcterms:created xsi:type="dcterms:W3CDTF">1996-10-08T23:32:33Z</dcterms:created>
  <dcterms:modified xsi:type="dcterms:W3CDTF">2020-08-25T10:00:19Z</dcterms:modified>
  <cp:category/>
  <cp:version/>
  <cp:contentType/>
  <cp:contentStatus/>
</cp:coreProperties>
</file>